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/>
  </bookViews>
  <sheets>
    <sheet name="Planification" sheetId="3" r:id="rId1"/>
  </sheets>
  <definedNames>
    <definedName name="_xlnm.Print_Area" localSheetId="0">Planification!$A$1:$Q$37</definedName>
  </definedNames>
  <calcPr calcId="125725"/>
</workbook>
</file>

<file path=xl/calcChain.xml><?xml version="1.0" encoding="utf-8"?>
<calcChain xmlns="http://schemas.openxmlformats.org/spreadsheetml/2006/main">
  <c r="E15" i="3"/>
  <c r="B14"/>
  <c r="C26" l="1"/>
  <c r="A36"/>
  <c r="Q37"/>
  <c r="Q31"/>
  <c r="O31" s="1"/>
  <c r="O27"/>
  <c r="O29"/>
  <c r="P28"/>
  <c r="P29" s="1"/>
  <c r="P26"/>
  <c r="P27" s="1"/>
  <c r="P31" l="1"/>
  <c r="P33" s="1"/>
  <c r="L35" l="1"/>
  <c r="K35"/>
  <c r="J35"/>
  <c r="I35"/>
  <c r="L34"/>
  <c r="K34"/>
  <c r="J34"/>
  <c r="I34"/>
  <c r="L33"/>
  <c r="K33"/>
  <c r="J33"/>
  <c r="I33"/>
  <c r="L32"/>
  <c r="K32"/>
  <c r="J32"/>
  <c r="I32"/>
  <c r="G35"/>
  <c r="H35" s="1"/>
  <c r="F35"/>
  <c r="G34"/>
  <c r="H34" s="1"/>
  <c r="F34"/>
  <c r="G33"/>
  <c r="H33" s="1"/>
  <c r="F33"/>
  <c r="G32"/>
  <c r="H32" s="1"/>
  <c r="F32"/>
  <c r="C35"/>
  <c r="C34"/>
  <c r="C33"/>
  <c r="C32"/>
  <c r="D19"/>
  <c r="D20"/>
  <c r="G20" s="1" a="1"/>
  <c r="G20" s="1"/>
  <c r="D21"/>
  <c r="G21" s="1" a="1"/>
  <c r="G21" s="1"/>
  <c r="D22"/>
  <c r="H22" s="1" a="1"/>
  <c r="H22" s="1"/>
  <c r="F21"/>
  <c r="F20"/>
  <c r="F19"/>
  <c r="F22"/>
  <c r="G19" l="1" a="1"/>
  <c r="G19" s="1"/>
  <c r="O30"/>
  <c r="Q30" s="1"/>
  <c r="I22"/>
  <c r="K22" s="1"/>
  <c r="G22" a="1"/>
  <c r="G22" s="1"/>
  <c r="P30" l="1"/>
  <c r="O33" l="1"/>
  <c r="O32" s="1"/>
  <c r="E7" l="1"/>
  <c r="K15"/>
  <c r="K14"/>
  <c r="K13"/>
  <c r="K12"/>
  <c r="K11"/>
  <c r="K10"/>
  <c r="K9"/>
  <c r="K8"/>
  <c r="K7"/>
  <c r="K6"/>
  <c r="K5"/>
  <c r="B15"/>
  <c r="E12" l="1"/>
  <c r="G26"/>
  <c r="F26" s="1"/>
  <c r="H19"/>
  <c r="E8"/>
  <c r="E11" s="1"/>
  <c r="G30"/>
  <c r="G27"/>
  <c r="G28"/>
  <c r="G31"/>
  <c r="H31" s="1"/>
  <c r="G29"/>
  <c r="H20" a="1"/>
  <c r="H20" s="1"/>
  <c r="H21" a="1"/>
  <c r="H21" s="1"/>
  <c r="F30" l="1"/>
  <c r="H30"/>
  <c r="F27"/>
  <c r="H27"/>
  <c r="F28"/>
  <c r="H28"/>
  <c r="F29"/>
  <c r="H29"/>
  <c r="F31"/>
  <c r="E13"/>
  <c r="E9"/>
  <c r="I21"/>
  <c r="I20" l="1"/>
  <c r="S31"/>
  <c r="S30"/>
  <c r="S29"/>
  <c r="S28"/>
  <c r="S27"/>
  <c r="S26"/>
  <c r="Q36" l="1"/>
  <c r="H13"/>
  <c r="J13" s="1"/>
  <c r="H9"/>
  <c r="J9" s="1"/>
  <c r="H5"/>
  <c r="J5" s="1"/>
  <c r="H14"/>
  <c r="J14" s="1"/>
  <c r="H10"/>
  <c r="J10" s="1"/>
  <c r="H6"/>
  <c r="J6" s="1"/>
  <c r="H15"/>
  <c r="J15" s="1"/>
  <c r="H11"/>
  <c r="J11" s="1"/>
  <c r="H7"/>
  <c r="J7" s="1"/>
  <c r="H12"/>
  <c r="J12" s="1"/>
  <c r="H8"/>
  <c r="J8" s="1"/>
  <c r="H26"/>
  <c r="K26" l="1"/>
  <c r="L26" s="1"/>
  <c r="I26"/>
  <c r="I29"/>
  <c r="K29"/>
  <c r="K28"/>
  <c r="I28"/>
  <c r="K30"/>
  <c r="I30"/>
  <c r="I27"/>
  <c r="K27"/>
  <c r="I31"/>
  <c r="K31"/>
  <c r="C27" l="1"/>
  <c r="C28" s="1"/>
  <c r="C29" s="1"/>
  <c r="C30" s="1"/>
  <c r="C31" s="1"/>
  <c r="I19"/>
  <c r="K19" s="1"/>
  <c r="L27"/>
  <c r="L28" s="1"/>
  <c r="L29" s="1"/>
  <c r="L30" s="1"/>
  <c r="L31" s="1"/>
  <c r="J26" l="1"/>
  <c r="J27" s="1"/>
  <c r="J28" s="1"/>
  <c r="J29" s="1"/>
  <c r="J30" s="1"/>
  <c r="J31" s="1"/>
  <c r="L36"/>
  <c r="L37" s="1"/>
  <c r="C36"/>
  <c r="K20"/>
  <c r="K21" l="1"/>
  <c r="B13" l="1"/>
  <c r="J36" l="1"/>
  <c r="J37" s="1"/>
  <c r="Q32"/>
  <c r="Q33" s="1"/>
</calcChain>
</file>

<file path=xl/sharedStrings.xml><?xml version="1.0" encoding="utf-8"?>
<sst xmlns="http://schemas.openxmlformats.org/spreadsheetml/2006/main" count="127" uniqueCount="88">
  <si>
    <t>Temps</t>
  </si>
  <si>
    <t>min</t>
  </si>
  <si>
    <t>max</t>
  </si>
  <si>
    <t>[l/min]</t>
  </si>
  <si>
    <t>[min]</t>
  </si>
  <si>
    <t>[m]</t>
  </si>
  <si>
    <t>[l]</t>
  </si>
  <si>
    <t>Mélange</t>
  </si>
  <si>
    <t>A</t>
  </si>
  <si>
    <t>B</t>
  </si>
  <si>
    <t>C</t>
  </si>
  <si>
    <t>D</t>
  </si>
  <si>
    <t>Nom</t>
  </si>
  <si>
    <t>FO2</t>
  </si>
  <si>
    <t>EAD</t>
  </si>
  <si>
    <t>Volume</t>
  </si>
  <si>
    <t>ppO2 max</t>
  </si>
  <si>
    <t>Prof</t>
  </si>
  <si>
    <t>Run-time</t>
  </si>
  <si>
    <t>Pabs</t>
  </si>
  <si>
    <t>[bar]</t>
  </si>
  <si>
    <t>ppO2</t>
  </si>
  <si>
    <t>OTU</t>
  </si>
  <si>
    <t>CNS</t>
  </si>
  <si>
    <t>a</t>
  </si>
  <si>
    <t>b</t>
  </si>
  <si>
    <t>Unit</t>
  </si>
  <si>
    <t>Total</t>
  </si>
  <si>
    <t>Conso.</t>
  </si>
  <si>
    <t>[-]</t>
  </si>
  <si>
    <t>15-20</t>
  </si>
  <si>
    <t>MOD</t>
  </si>
  <si>
    <t>Bouteille</t>
  </si>
  <si>
    <t>Départ</t>
  </si>
  <si>
    <t>Plongée précédente</t>
  </si>
  <si>
    <t>Heure</t>
  </si>
  <si>
    <t>Kp OTU</t>
  </si>
  <si>
    <t>Kp CNS</t>
  </si>
  <si>
    <t>PEA (EAD)</t>
  </si>
  <si>
    <t>%O2</t>
  </si>
  <si>
    <t>Prof max.</t>
  </si>
  <si>
    <t xml:space="preserve">- </t>
  </si>
  <si>
    <t xml:space="preserve">Besoin </t>
  </si>
  <si>
    <t xml:space="preserve">Mano. </t>
  </si>
  <si>
    <t xml:space="preserve">N2 </t>
  </si>
  <si>
    <t xml:space="preserve">O2 </t>
  </si>
  <si>
    <t>Plongée prévue</t>
  </si>
  <si>
    <t>Lieu</t>
  </si>
  <si>
    <t>Date</t>
  </si>
  <si>
    <t>Sortie</t>
  </si>
  <si>
    <t>CNS:</t>
  </si>
  <si>
    <t>[%]</t>
  </si>
  <si>
    <t>FN2</t>
  </si>
  <si>
    <t>Besoin</t>
  </si>
  <si>
    <t>P début</t>
  </si>
  <si>
    <t>P fin</t>
  </si>
  <si>
    <t>IS [hh:mm]</t>
  </si>
  <si>
    <t>IS [min]</t>
  </si>
  <si>
    <t>p0 [bar]</t>
  </si>
  <si>
    <t>t max CNS</t>
  </si>
  <si>
    <t>[# jours]</t>
  </si>
  <si>
    <t>pp init.</t>
  </si>
  <si>
    <t>% init.</t>
  </si>
  <si>
    <t>pp fin.</t>
  </si>
  <si>
    <t>1: Bloc</t>
  </si>
  <si>
    <t xml:space="preserve">2: O2 </t>
  </si>
  <si>
    <t xml:space="preserve">3: Air </t>
  </si>
  <si>
    <t>[total]</t>
  </si>
  <si>
    <t>[/jour]</t>
  </si>
  <si>
    <t>Alt. [m]</t>
  </si>
  <si>
    <t>P abs</t>
  </si>
  <si>
    <t>P abs fict.</t>
  </si>
  <si>
    <t>%O2 idéal</t>
  </si>
  <si>
    <t>Choix mélange</t>
  </si>
  <si>
    <t>Gonflage</t>
  </si>
  <si>
    <t>PMU (MOD)</t>
  </si>
  <si>
    <t>Table REPEX (OTU max)</t>
  </si>
  <si>
    <t>% fin.</t>
  </si>
  <si>
    <t>Calcul OTU/CNS</t>
  </si>
  <si>
    <r>
      <t xml:space="preserve">Planification de plongée
</t>
    </r>
    <r>
      <rPr>
        <sz val="12"/>
        <color theme="1"/>
        <rFont val="Calibri"/>
        <family val="2"/>
        <scheme val="minor"/>
      </rPr>
      <t>Calculette à mélanges</t>
    </r>
  </si>
  <si>
    <t>IS mini:</t>
  </si>
  <si>
    <t>Cumul OTU</t>
  </si>
  <si>
    <t>OTU / jour:</t>
  </si>
  <si>
    <t>Le Chesnay</t>
  </si>
  <si>
    <t>Gaz fond</t>
  </si>
  <si>
    <t>Déco 1</t>
  </si>
  <si>
    <t>Déco 2</t>
  </si>
  <si>
    <t>Prof. [m]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</si>
</sst>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5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0" fontId="0" fillId="3" borderId="0" xfId="0" applyNumberFormat="1" applyFill="1" applyBorder="1" applyAlignment="1">
      <alignment horizontal="center" vertical="center"/>
    </xf>
    <xf numFmtId="2" fontId="0" fillId="3" borderId="5" xfId="0" applyNumberFormat="1" applyFill="1" applyBorder="1" applyAlignment="1">
      <alignment horizontal="center" vertical="center"/>
    </xf>
    <xf numFmtId="10" fontId="0" fillId="3" borderId="7" xfId="0" applyNumberForma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4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0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9" fontId="0" fillId="2" borderId="14" xfId="0" applyNumberFormat="1" applyFill="1" applyBorder="1" applyAlignment="1" applyProtection="1">
      <alignment horizontal="center" vertical="center"/>
      <protection locked="0"/>
    </xf>
    <xf numFmtId="9" fontId="0" fillId="0" borderId="14" xfId="0" applyNumberFormat="1" applyBorder="1" applyAlignment="1">
      <alignment horizontal="center" vertical="center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9" fontId="0" fillId="2" borderId="17" xfId="0" applyNumberFormat="1" applyFill="1" applyBorder="1" applyAlignment="1" applyProtection="1">
      <alignment horizontal="center" vertical="center"/>
      <protection locked="0"/>
    </xf>
    <xf numFmtId="9" fontId="0" fillId="0" borderId="17" xfId="0" applyNumberFormat="1" applyBorder="1" applyAlignment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9" fontId="0" fillId="2" borderId="20" xfId="0" applyNumberFormat="1" applyFill="1" applyBorder="1" applyAlignment="1" applyProtection="1">
      <alignment horizontal="center" vertical="center"/>
      <protection locked="0"/>
    </xf>
    <xf numFmtId="9" fontId="0" fillId="0" borderId="20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9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9" fontId="0" fillId="0" borderId="18" xfId="0" applyNumberFormat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9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0</xdr:row>
      <xdr:rowOff>990600</xdr:rowOff>
    </xdr:to>
    <xdr:pic>
      <xdr:nvPicPr>
        <xdr:cNvPr id="2" name="Image 2" descr="ffessm.bmp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0"/>
          <a:ext cx="13144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201706</xdr:colOff>
      <xdr:row>0</xdr:row>
      <xdr:rowOff>0</xdr:rowOff>
    </xdr:from>
    <xdr:to>
      <xdr:col>16</xdr:col>
      <xdr:colOff>559794</xdr:colOff>
      <xdr:row>0</xdr:row>
      <xdr:rowOff>990000</xdr:rowOff>
    </xdr:to>
    <xdr:pic>
      <xdr:nvPicPr>
        <xdr:cNvPr id="5" name="Image 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592235" y="0"/>
          <a:ext cx="1523500" cy="99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8"/>
  <sheetViews>
    <sheetView showGridLines="0" tabSelected="1" zoomScale="85" zoomScaleNormal="85" workbookViewId="0">
      <selection activeCell="E14" sqref="E14"/>
    </sheetView>
  </sheetViews>
  <sheetFormatPr baseColWidth="10" defaultRowHeight="15"/>
  <cols>
    <col min="1" max="2" width="11.42578125" style="1"/>
    <col min="3" max="12" width="10.7109375" style="1" customWidth="1"/>
    <col min="13" max="13" width="1.7109375" style="1" customWidth="1"/>
    <col min="14" max="17" width="8.7109375" style="1" customWidth="1"/>
    <col min="18" max="18" width="11.42578125" style="1"/>
    <col min="19" max="22" width="0" style="1" hidden="1" customWidth="1"/>
    <col min="23" max="16384" width="11.42578125" style="1"/>
  </cols>
  <sheetData>
    <row r="1" spans="1:17" ht="80.099999999999994" customHeight="1">
      <c r="A1" s="110" t="s">
        <v>79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15" customHeight="1"/>
    <row r="3" spans="1:17" ht="15" customHeight="1">
      <c r="A3" s="112" t="s">
        <v>34</v>
      </c>
      <c r="B3" s="113"/>
      <c r="D3" s="112" t="s">
        <v>73</v>
      </c>
      <c r="E3" s="113"/>
      <c r="G3" s="45" t="s">
        <v>21</v>
      </c>
      <c r="H3" s="109" t="s">
        <v>59</v>
      </c>
      <c r="I3" s="109"/>
      <c r="J3" s="46" t="s">
        <v>37</v>
      </c>
      <c r="K3" s="47" t="s">
        <v>36</v>
      </c>
      <c r="O3" s="117" t="s">
        <v>76</v>
      </c>
      <c r="P3" s="109"/>
      <c r="Q3" s="118"/>
    </row>
    <row r="4" spans="1:17" ht="15" customHeight="1">
      <c r="A4" s="4" t="s">
        <v>48</v>
      </c>
      <c r="B4" s="33">
        <v>41948</v>
      </c>
      <c r="D4" s="29" t="s">
        <v>16</v>
      </c>
      <c r="E4" s="38">
        <v>1.4</v>
      </c>
      <c r="G4" s="16" t="s">
        <v>20</v>
      </c>
      <c r="H4" s="17" t="s">
        <v>4</v>
      </c>
      <c r="I4" s="17" t="s">
        <v>4</v>
      </c>
      <c r="J4" s="17" t="s">
        <v>29</v>
      </c>
      <c r="K4" s="18" t="s">
        <v>29</v>
      </c>
      <c r="O4" s="16" t="s">
        <v>60</v>
      </c>
      <c r="P4" s="17" t="s">
        <v>68</v>
      </c>
      <c r="Q4" s="18" t="s">
        <v>67</v>
      </c>
    </row>
    <row r="5" spans="1:17" ht="15" customHeight="1">
      <c r="A5" s="4" t="s">
        <v>35</v>
      </c>
      <c r="B5" s="34">
        <v>0.5</v>
      </c>
      <c r="D5" s="4" t="s">
        <v>87</v>
      </c>
      <c r="E5" s="37">
        <v>10</v>
      </c>
      <c r="G5" s="19">
        <v>0.6</v>
      </c>
      <c r="H5" s="20">
        <f t="shared" ref="H5:H15" si="0">IF(AND(G5&gt;=0.5,G5&lt;=1.6),INDEX($U$25:$U$31,MATCH(G5,$S$25:$S$31,1))*G5+INDEX($V$25:$V$31,MATCH(G5,$S$25:$S$31,1)),"")</f>
        <v>720</v>
      </c>
      <c r="I5" s="20">
        <v>720</v>
      </c>
      <c r="J5" s="22">
        <f t="shared" ref="J5:J15" si="1">1/H5</f>
        <v>1.3888888888888889E-3</v>
      </c>
      <c r="K5" s="23">
        <f t="shared" ref="K5:K15" si="2">((G5-0.5)/0.5)^(5/6)</f>
        <v>0.26153209720236609</v>
      </c>
      <c r="O5" s="19">
        <v>1</v>
      </c>
      <c r="P5" s="20">
        <v>850</v>
      </c>
      <c r="Q5" s="21">
        <v>850</v>
      </c>
    </row>
    <row r="6" spans="1:17" ht="15" customHeight="1">
      <c r="A6" s="4" t="s">
        <v>23</v>
      </c>
      <c r="B6" s="35">
        <v>0.9</v>
      </c>
      <c r="D6" s="4" t="s">
        <v>69</v>
      </c>
      <c r="E6" s="37">
        <v>0</v>
      </c>
      <c r="G6" s="19">
        <v>0.7</v>
      </c>
      <c r="H6" s="20">
        <f t="shared" si="0"/>
        <v>570</v>
      </c>
      <c r="I6" s="20">
        <v>570</v>
      </c>
      <c r="J6" s="22">
        <f t="shared" si="1"/>
        <v>1.7543859649122807E-3</v>
      </c>
      <c r="K6" s="23">
        <f t="shared" si="2"/>
        <v>0.46599722030028506</v>
      </c>
      <c r="O6" s="19">
        <v>2</v>
      </c>
      <c r="P6" s="20">
        <v>700</v>
      </c>
      <c r="Q6" s="21">
        <v>1400</v>
      </c>
    </row>
    <row r="7" spans="1:17" ht="15" customHeight="1">
      <c r="A7" s="7" t="s">
        <v>22</v>
      </c>
      <c r="B7" s="36">
        <v>300</v>
      </c>
      <c r="D7" s="4" t="s">
        <v>58</v>
      </c>
      <c r="E7" s="32">
        <f>1-E6/10^4</f>
        <v>1</v>
      </c>
      <c r="G7" s="19">
        <v>0.8</v>
      </c>
      <c r="H7" s="20">
        <f t="shared" si="0"/>
        <v>450</v>
      </c>
      <c r="I7" s="20">
        <v>450</v>
      </c>
      <c r="J7" s="22">
        <f t="shared" si="1"/>
        <v>2.2222222222222222E-3</v>
      </c>
      <c r="K7" s="23">
        <f t="shared" si="2"/>
        <v>0.65332013327220195</v>
      </c>
      <c r="O7" s="19">
        <v>3</v>
      </c>
      <c r="P7" s="20">
        <v>620</v>
      </c>
      <c r="Q7" s="21">
        <v>1860</v>
      </c>
    </row>
    <row r="8" spans="1:17">
      <c r="D8" s="4" t="s">
        <v>70</v>
      </c>
      <c r="E8" s="32">
        <f>(E7+E5/10)</f>
        <v>2</v>
      </c>
      <c r="G8" s="19">
        <v>0.9</v>
      </c>
      <c r="H8" s="20">
        <f t="shared" si="0"/>
        <v>360</v>
      </c>
      <c r="I8" s="20">
        <v>360</v>
      </c>
      <c r="J8" s="22">
        <f t="shared" si="1"/>
        <v>2.7777777777777779E-3</v>
      </c>
      <c r="K8" s="23">
        <f t="shared" si="2"/>
        <v>0.83031265244497077</v>
      </c>
      <c r="O8" s="19">
        <v>4</v>
      </c>
      <c r="P8" s="20">
        <v>525</v>
      </c>
      <c r="Q8" s="21">
        <v>2100</v>
      </c>
    </row>
    <row r="9" spans="1:17">
      <c r="A9" s="112" t="s">
        <v>46</v>
      </c>
      <c r="B9" s="113"/>
      <c r="D9" s="4" t="s">
        <v>72</v>
      </c>
      <c r="E9" s="6">
        <f>E4/E8</f>
        <v>0.7</v>
      </c>
      <c r="G9" s="19">
        <v>1</v>
      </c>
      <c r="H9" s="20">
        <f t="shared" si="0"/>
        <v>300</v>
      </c>
      <c r="I9" s="20">
        <v>300</v>
      </c>
      <c r="J9" s="22">
        <f t="shared" si="1"/>
        <v>3.3333333333333335E-3</v>
      </c>
      <c r="K9" s="23">
        <f t="shared" si="2"/>
        <v>1</v>
      </c>
      <c r="O9" s="19">
        <v>5</v>
      </c>
      <c r="P9" s="20">
        <v>460</v>
      </c>
      <c r="Q9" s="21">
        <v>2300</v>
      </c>
    </row>
    <row r="10" spans="1:17">
      <c r="A10" s="4" t="s">
        <v>47</v>
      </c>
      <c r="B10" s="37" t="s">
        <v>83</v>
      </c>
      <c r="D10" s="4" t="s">
        <v>39</v>
      </c>
      <c r="E10" s="35">
        <v>0.3</v>
      </c>
      <c r="G10" s="19">
        <v>1.1000000000000001</v>
      </c>
      <c r="H10" s="20">
        <f t="shared" si="0"/>
        <v>240</v>
      </c>
      <c r="I10" s="20">
        <v>270</v>
      </c>
      <c r="J10" s="22">
        <f t="shared" si="1"/>
        <v>4.1666666666666666E-3</v>
      </c>
      <c r="K10" s="23">
        <f t="shared" si="2"/>
        <v>1.1640841385349605</v>
      </c>
      <c r="O10" s="19">
        <v>6</v>
      </c>
      <c r="P10" s="20">
        <v>420</v>
      </c>
      <c r="Q10" s="21">
        <v>2520</v>
      </c>
    </row>
    <row r="11" spans="1:17">
      <c r="A11" s="4" t="s">
        <v>48</v>
      </c>
      <c r="B11" s="33">
        <v>41948</v>
      </c>
      <c r="D11" s="4" t="s">
        <v>71</v>
      </c>
      <c r="E11" s="32">
        <f>E8/E7*(1-E10)/0.79</f>
        <v>1.7721518987341771</v>
      </c>
      <c r="G11" s="19">
        <v>1.2</v>
      </c>
      <c r="H11" s="20">
        <f t="shared" si="0"/>
        <v>210</v>
      </c>
      <c r="I11" s="20">
        <v>240</v>
      </c>
      <c r="J11" s="22">
        <f t="shared" si="1"/>
        <v>4.7619047619047623E-3</v>
      </c>
      <c r="K11" s="23">
        <f t="shared" si="2"/>
        <v>1.3236506067649696</v>
      </c>
      <c r="O11" s="19">
        <v>7</v>
      </c>
      <c r="P11" s="20">
        <v>380</v>
      </c>
      <c r="Q11" s="21">
        <v>2660</v>
      </c>
    </row>
    <row r="12" spans="1:17">
      <c r="A12" s="4" t="s">
        <v>33</v>
      </c>
      <c r="B12" s="34">
        <v>0.625</v>
      </c>
      <c r="D12" s="4" t="s">
        <v>75</v>
      </c>
      <c r="E12" s="32">
        <f>10*(E4/E10-E7)</f>
        <v>36.666666666666671</v>
      </c>
      <c r="G12" s="19">
        <v>1.3</v>
      </c>
      <c r="H12" s="20">
        <f t="shared" si="0"/>
        <v>180</v>
      </c>
      <c r="I12" s="20">
        <v>210</v>
      </c>
      <c r="J12" s="22">
        <f t="shared" si="1"/>
        <v>5.5555555555555558E-3</v>
      </c>
      <c r="K12" s="23">
        <f t="shared" si="2"/>
        <v>1.4794489554378591</v>
      </c>
      <c r="O12" s="19">
        <v>8</v>
      </c>
      <c r="P12" s="20">
        <v>350</v>
      </c>
      <c r="Q12" s="21">
        <v>2800</v>
      </c>
    </row>
    <row r="13" spans="1:17">
      <c r="A13" s="4" t="s">
        <v>49</v>
      </c>
      <c r="B13" s="11" t="str">
        <f>TEXT(((B12-INT(B12))*24*60+MAX(C26:C35))/24/60,"h:mm")</f>
        <v>15:42</v>
      </c>
      <c r="D13" s="7" t="s">
        <v>38</v>
      </c>
      <c r="E13" s="48">
        <f>(E11-1)*10</f>
        <v>7.7215189873417707</v>
      </c>
      <c r="G13" s="19">
        <v>1.4</v>
      </c>
      <c r="H13" s="20">
        <f t="shared" si="0"/>
        <v>150</v>
      </c>
      <c r="I13" s="20">
        <v>180</v>
      </c>
      <c r="J13" s="22">
        <f t="shared" si="1"/>
        <v>6.6666666666666671E-3</v>
      </c>
      <c r="K13" s="23">
        <f t="shared" si="2"/>
        <v>1.6320260537984397</v>
      </c>
      <c r="O13" s="19">
        <v>9</v>
      </c>
      <c r="P13" s="20">
        <v>330</v>
      </c>
      <c r="Q13" s="21">
        <v>2970</v>
      </c>
    </row>
    <row r="14" spans="1:17">
      <c r="A14" s="4" t="s">
        <v>56</v>
      </c>
      <c r="B14" s="11">
        <f>IF(B11&gt;=B4,B12-B5,"12:00")</f>
        <v>0.125</v>
      </c>
      <c r="D14" s="4" t="s">
        <v>39</v>
      </c>
      <c r="E14" s="35">
        <v>0.3</v>
      </c>
      <c r="G14" s="19">
        <v>1.5</v>
      </c>
      <c r="H14" s="20">
        <f t="shared" si="0"/>
        <v>120</v>
      </c>
      <c r="I14" s="20">
        <v>180</v>
      </c>
      <c r="J14" s="22">
        <f t="shared" si="1"/>
        <v>8.3333333333333332E-3</v>
      </c>
      <c r="K14" s="23">
        <f t="shared" si="2"/>
        <v>1.7817974362806785</v>
      </c>
      <c r="O14" s="19">
        <v>10</v>
      </c>
      <c r="P14" s="20">
        <v>310</v>
      </c>
      <c r="Q14" s="21">
        <v>3100</v>
      </c>
    </row>
    <row r="15" spans="1:17">
      <c r="A15" s="7" t="s">
        <v>57</v>
      </c>
      <c r="B15" s="9">
        <f>(B14-INT(B14))*24*60</f>
        <v>180</v>
      </c>
      <c r="D15" s="7" t="s">
        <v>87</v>
      </c>
      <c r="E15" s="48">
        <f>10*(E4/E14-E7)</f>
        <v>36.666666666666671</v>
      </c>
      <c r="G15" s="16">
        <v>1.6</v>
      </c>
      <c r="H15" s="17">
        <f t="shared" si="0"/>
        <v>45</v>
      </c>
      <c r="I15" s="17">
        <v>150</v>
      </c>
      <c r="J15" s="24">
        <f t="shared" si="1"/>
        <v>2.2222222222222223E-2</v>
      </c>
      <c r="K15" s="25">
        <f t="shared" si="2"/>
        <v>1.9290888640937633</v>
      </c>
      <c r="O15" s="19">
        <v>11</v>
      </c>
      <c r="P15" s="20">
        <v>300</v>
      </c>
      <c r="Q15" s="21">
        <v>3300</v>
      </c>
    </row>
    <row r="16" spans="1:17">
      <c r="O16" s="19">
        <v>12</v>
      </c>
      <c r="P16" s="20">
        <v>300</v>
      </c>
      <c r="Q16" s="21">
        <v>3600</v>
      </c>
    </row>
    <row r="17" spans="1:22">
      <c r="A17" s="42" t="s">
        <v>7</v>
      </c>
      <c r="B17" s="43" t="s">
        <v>12</v>
      </c>
      <c r="C17" s="43" t="s">
        <v>13</v>
      </c>
      <c r="D17" s="43" t="s">
        <v>52</v>
      </c>
      <c r="E17" s="43" t="s">
        <v>16</v>
      </c>
      <c r="F17" s="43" t="s">
        <v>31</v>
      </c>
      <c r="G17" s="43" t="s">
        <v>40</v>
      </c>
      <c r="H17" s="43" t="s">
        <v>14</v>
      </c>
      <c r="I17" s="43" t="s">
        <v>53</v>
      </c>
      <c r="J17" s="43" t="s">
        <v>32</v>
      </c>
      <c r="K17" s="43" t="s">
        <v>54</v>
      </c>
      <c r="L17" s="44" t="s">
        <v>55</v>
      </c>
      <c r="O17" s="19">
        <v>13</v>
      </c>
      <c r="P17" s="20">
        <v>300</v>
      </c>
      <c r="Q17" s="21">
        <v>3900</v>
      </c>
    </row>
    <row r="18" spans="1:22">
      <c r="A18" s="7" t="s">
        <v>29</v>
      </c>
      <c r="B18" s="8" t="s">
        <v>29</v>
      </c>
      <c r="C18" s="8" t="s">
        <v>51</v>
      </c>
      <c r="D18" s="8" t="s">
        <v>51</v>
      </c>
      <c r="E18" s="8" t="s">
        <v>20</v>
      </c>
      <c r="F18" s="8" t="s">
        <v>5</v>
      </c>
      <c r="G18" s="8" t="s">
        <v>5</v>
      </c>
      <c r="H18" s="8" t="s">
        <v>5</v>
      </c>
      <c r="I18" s="8" t="s">
        <v>6</v>
      </c>
      <c r="J18" s="8" t="s">
        <v>6</v>
      </c>
      <c r="K18" s="8" t="s">
        <v>20</v>
      </c>
      <c r="L18" s="9" t="s">
        <v>20</v>
      </c>
      <c r="O18" s="19">
        <v>14</v>
      </c>
      <c r="P18" s="20">
        <v>300</v>
      </c>
      <c r="Q18" s="21">
        <v>4200</v>
      </c>
    </row>
    <row r="19" spans="1:22">
      <c r="A19" s="53" t="s">
        <v>8</v>
      </c>
      <c r="B19" s="54" t="s">
        <v>84</v>
      </c>
      <c r="C19" s="55">
        <v>0.21</v>
      </c>
      <c r="D19" s="56">
        <f>IF(C19&lt;&gt;"",1-C19,"")</f>
        <v>0.79</v>
      </c>
      <c r="E19" s="57">
        <v>1.4</v>
      </c>
      <c r="F19" s="58">
        <f t="shared" ref="F19:F21" si="3">IFERROR((E19/C19-1)*10,"")</f>
        <v>56.666666666666657</v>
      </c>
      <c r="G19" s="58">
        <f t="array" ref="G19">IF(D19&lt;&gt;"",MAX(IF($E$26:$E$31=A19,$A$26:$A$31,"")),"")</f>
        <v>50</v>
      </c>
      <c r="H19" s="58">
        <f>IF(D19&lt;&gt;"",MAX(0,(($E$7+G19/10)/$E$7*D19/0.79-1)*10),"")</f>
        <v>50</v>
      </c>
      <c r="I19" s="58">
        <f>IF(D19&lt;&gt;"",SUMIF($E$26:$E$35,"="&amp;A19,$F$26:$F$35),"")</f>
        <v>1986</v>
      </c>
      <c r="J19" s="54">
        <v>24</v>
      </c>
      <c r="K19" s="58">
        <f t="shared" ref="K19:K21" si="4">IFERROR(I19/J19+L19,"")</f>
        <v>132.75</v>
      </c>
      <c r="L19" s="59">
        <v>50</v>
      </c>
      <c r="O19" s="16" t="s">
        <v>30</v>
      </c>
      <c r="P19" s="17">
        <v>300</v>
      </c>
      <c r="Q19" s="18"/>
    </row>
    <row r="20" spans="1:22">
      <c r="A20" s="60" t="s">
        <v>9</v>
      </c>
      <c r="B20" s="61" t="s">
        <v>85</v>
      </c>
      <c r="C20" s="62">
        <v>0.5</v>
      </c>
      <c r="D20" s="63">
        <f>IF(C20&lt;&gt;"",1-C20,"")</f>
        <v>0.5</v>
      </c>
      <c r="E20" s="64">
        <v>1.6</v>
      </c>
      <c r="F20" s="65">
        <f t="shared" si="3"/>
        <v>22</v>
      </c>
      <c r="G20" s="65">
        <f t="array" ref="G20">IF(D20&lt;&gt;"",MAX(IF($E$26:$E$31=A20,$A$26:$A$31,"")),"")</f>
        <v>15</v>
      </c>
      <c r="H20" s="65">
        <f t="array" ref="H20">IF(D20&lt;&gt;"",MAX(0,(($E$7+G20/10)/$E$7*D20/0.79-1)*10),"")</f>
        <v>5.8227848101265822</v>
      </c>
      <c r="I20" s="65">
        <f>IF(D20&lt;&gt;"",SUMIF($E$26:$E$35,"="&amp;A20,$F$26:$F$35),"")</f>
        <v>242.5</v>
      </c>
      <c r="J20" s="61">
        <v>10</v>
      </c>
      <c r="K20" s="65">
        <f t="shared" si="4"/>
        <v>74.25</v>
      </c>
      <c r="L20" s="66">
        <v>50</v>
      </c>
    </row>
    <row r="21" spans="1:22">
      <c r="A21" s="60" t="s">
        <v>10</v>
      </c>
      <c r="B21" s="61" t="s">
        <v>86</v>
      </c>
      <c r="C21" s="62">
        <v>1</v>
      </c>
      <c r="D21" s="63">
        <f>IF(C21&lt;&gt;"",1-C21,"")</f>
        <v>0</v>
      </c>
      <c r="E21" s="64">
        <v>1.6</v>
      </c>
      <c r="F21" s="65">
        <f t="shared" si="3"/>
        <v>6.0000000000000009</v>
      </c>
      <c r="G21" s="65">
        <f t="array" ref="G21">IF(D21&lt;&gt;"",MAX(IF($E$26:$E$31=A21,$A$26:$A$31,"")),"")</f>
        <v>6</v>
      </c>
      <c r="H21" s="65">
        <f t="array" ref="H21">IF(D21&lt;&gt;"",MAX(0,(($E$7+G21/10)/$E$7*D21/0.79-1)*10),"")</f>
        <v>0</v>
      </c>
      <c r="I21" s="65">
        <f>IF(D21&lt;&gt;"",SUMIF($E$26:$E$35,"="&amp;A21,$F$26:$F$35),"")</f>
        <v>363</v>
      </c>
      <c r="J21" s="61">
        <v>7</v>
      </c>
      <c r="K21" s="65">
        <f t="shared" si="4"/>
        <v>101.85714285714286</v>
      </c>
      <c r="L21" s="66">
        <v>50</v>
      </c>
    </row>
    <row r="22" spans="1:22">
      <c r="A22" s="67" t="s">
        <v>11</v>
      </c>
      <c r="B22" s="68"/>
      <c r="C22" s="69"/>
      <c r="D22" s="70" t="str">
        <f>IF(C22&lt;&gt;"",1-C22,"")</f>
        <v/>
      </c>
      <c r="E22" s="69"/>
      <c r="F22" s="71" t="str">
        <f>IFERROR((E22/C22-1)*10,"")</f>
        <v/>
      </c>
      <c r="G22" s="71" t="str">
        <f t="array" ref="G22">IF(D22&lt;&gt;"",MAX(IF($E$26:$E$31=A22,$A$26:$A$31,"")),"")</f>
        <v/>
      </c>
      <c r="H22" s="71" t="str">
        <f t="array" ref="H22">IF(D22&lt;&gt;"",MAX(0,(($E$7+G22/10)/$E$7*D22/0.79-1)*10),"")</f>
        <v/>
      </c>
      <c r="I22" s="71" t="str">
        <f>IF(D22&lt;&gt;"",SUMIF($E$26:$E$35,"="&amp;A22,$F$26:$F$35),"")</f>
        <v/>
      </c>
      <c r="J22" s="68"/>
      <c r="K22" s="71" t="str">
        <f>IFERROR(I22/J22+L22,"")</f>
        <v/>
      </c>
      <c r="L22" s="72"/>
    </row>
    <row r="23" spans="1:22" ht="5.0999999999999996" customHeight="1"/>
    <row r="24" spans="1:22">
      <c r="A24" s="42" t="s">
        <v>17</v>
      </c>
      <c r="B24" s="43" t="s">
        <v>0</v>
      </c>
      <c r="C24" s="43" t="s">
        <v>18</v>
      </c>
      <c r="D24" s="43" t="s">
        <v>28</v>
      </c>
      <c r="E24" s="43" t="s">
        <v>7</v>
      </c>
      <c r="F24" s="43" t="s">
        <v>15</v>
      </c>
      <c r="G24" s="43" t="s">
        <v>19</v>
      </c>
      <c r="H24" s="43" t="s">
        <v>21</v>
      </c>
      <c r="I24" s="115" t="s">
        <v>22</v>
      </c>
      <c r="J24" s="116"/>
      <c r="K24" s="115" t="s">
        <v>23</v>
      </c>
      <c r="L24" s="116"/>
      <c r="O24" s="112" t="s">
        <v>74</v>
      </c>
      <c r="P24" s="114"/>
      <c r="Q24" s="113"/>
      <c r="S24" s="1" t="s">
        <v>1</v>
      </c>
      <c r="T24" s="1" t="s">
        <v>2</v>
      </c>
      <c r="U24" s="1" t="s">
        <v>24</v>
      </c>
      <c r="V24" s="1" t="s">
        <v>25</v>
      </c>
    </row>
    <row r="25" spans="1:22">
      <c r="A25" s="7" t="s">
        <v>5</v>
      </c>
      <c r="B25" s="8" t="s">
        <v>4</v>
      </c>
      <c r="C25" s="8" t="s">
        <v>4</v>
      </c>
      <c r="D25" s="8" t="s">
        <v>3</v>
      </c>
      <c r="E25" s="8" t="s">
        <v>29</v>
      </c>
      <c r="F25" s="8" t="s">
        <v>6</v>
      </c>
      <c r="G25" s="8" t="s">
        <v>20</v>
      </c>
      <c r="H25" s="8" t="s">
        <v>20</v>
      </c>
      <c r="I25" s="7" t="s">
        <v>26</v>
      </c>
      <c r="J25" s="9" t="s">
        <v>27</v>
      </c>
      <c r="K25" s="7" t="s">
        <v>26</v>
      </c>
      <c r="L25" s="9" t="s">
        <v>27</v>
      </c>
      <c r="O25" s="10" t="s">
        <v>45</v>
      </c>
      <c r="P25" s="26" t="s">
        <v>44</v>
      </c>
      <c r="Q25" s="15" t="s">
        <v>43</v>
      </c>
      <c r="S25" s="1">
        <v>0.5</v>
      </c>
      <c r="T25" s="1">
        <v>0.6</v>
      </c>
      <c r="U25" s="1">
        <v>-1800</v>
      </c>
      <c r="V25" s="1">
        <v>1800</v>
      </c>
    </row>
    <row r="26" spans="1:22">
      <c r="A26" s="73">
        <v>50</v>
      </c>
      <c r="B26" s="74">
        <v>15</v>
      </c>
      <c r="C26" s="58">
        <f>IF(B26&lt;&gt;"",B26,"")</f>
        <v>15</v>
      </c>
      <c r="D26" s="54">
        <v>20</v>
      </c>
      <c r="E26" s="54" t="s">
        <v>8</v>
      </c>
      <c r="F26" s="75">
        <f t="shared" ref="F26:F31" si="5">IF(B26&lt;&gt;"",B26*D26*G26,"")</f>
        <v>1800</v>
      </c>
      <c r="G26" s="75">
        <f t="shared" ref="G26:G35" si="6">IF(B26&lt;&gt;"",A26/10+$E$7,"")</f>
        <v>6</v>
      </c>
      <c r="H26" s="84">
        <f t="shared" ref="H26:H31" si="7">IFERROR(INDEX($C$19:$C$22,MATCH(E26,$A$19:$A$22,0))*G26,"")</f>
        <v>1.26</v>
      </c>
      <c r="I26" s="87">
        <f t="shared" ref="I26:I35" si="8">IF(B26&lt;&gt;"",((H26-0.5)/0.5)^(5/6)*B26,"")</f>
        <v>21.263148993044975</v>
      </c>
      <c r="J26" s="88">
        <f>I26</f>
        <v>21.263148993044975</v>
      </c>
      <c r="K26" s="93">
        <f t="shared" ref="K26:K35" si="9">IF(B26&lt;&gt;"",B26/IF(AND(H26&gt;=0.5,H26&lt;=1.6),INDEX($U$25:$U$31,MATCH(H26,$S$25:$S$31,1))*H26+INDEX($V$25:$V$31,MATCH(H26,$S$25:$S$31,1)),""),"")</f>
        <v>7.8125E-2</v>
      </c>
      <c r="L26" s="76">
        <f>IF(B26&lt;&gt;"",K26+B6*0.5^(B15/90),"")</f>
        <v>0.30312499999999998</v>
      </c>
      <c r="N26" s="3" t="s">
        <v>62</v>
      </c>
      <c r="O26" s="39">
        <v>0.6</v>
      </c>
      <c r="P26" s="30">
        <f>1-O26</f>
        <v>0.4</v>
      </c>
      <c r="Q26" s="38">
        <v>150</v>
      </c>
      <c r="S26" s="1">
        <f t="shared" ref="S26:S31" si="10">T25</f>
        <v>0.6</v>
      </c>
      <c r="T26" s="1">
        <v>0.7</v>
      </c>
      <c r="U26" s="1">
        <v>-1500</v>
      </c>
      <c r="V26" s="1">
        <v>1620</v>
      </c>
    </row>
    <row r="27" spans="1:22">
      <c r="A27" s="77">
        <v>21</v>
      </c>
      <c r="B27" s="78">
        <v>3</v>
      </c>
      <c r="C27" s="65">
        <f t="shared" ref="C27:C35" si="11">IF(B27&lt;&gt;"",C26+B27,"")</f>
        <v>18</v>
      </c>
      <c r="D27" s="61">
        <v>20</v>
      </c>
      <c r="E27" s="61" t="s">
        <v>8</v>
      </c>
      <c r="F27" s="79">
        <f t="shared" si="5"/>
        <v>186</v>
      </c>
      <c r="G27" s="79">
        <f t="shared" si="6"/>
        <v>3.1</v>
      </c>
      <c r="H27" s="85">
        <f t="shared" si="7"/>
        <v>0.65100000000000002</v>
      </c>
      <c r="I27" s="89">
        <f t="shared" si="8"/>
        <v>1.1060982550209462</v>
      </c>
      <c r="J27" s="90">
        <f t="shared" ref="J27:J35" si="12">IF(B27&lt;&gt;"",I27+J26,"")</f>
        <v>22.369247248065921</v>
      </c>
      <c r="K27" s="94">
        <f t="shared" si="9"/>
        <v>4.662004662004662E-3</v>
      </c>
      <c r="L27" s="80">
        <f t="shared" ref="L27:L35" si="13">IF(B27&lt;&gt;"",K27+L26,"")</f>
        <v>0.30778700466200465</v>
      </c>
      <c r="N27" s="4" t="s">
        <v>61</v>
      </c>
      <c r="O27" s="103">
        <f>O26*$Q26</f>
        <v>90</v>
      </c>
      <c r="P27" s="104">
        <f>P26*$Q26</f>
        <v>60</v>
      </c>
      <c r="Q27" s="108" t="s">
        <v>41</v>
      </c>
      <c r="S27" s="1">
        <f t="shared" si="10"/>
        <v>0.7</v>
      </c>
      <c r="T27" s="1">
        <v>0.8</v>
      </c>
      <c r="U27" s="1">
        <v>-1200</v>
      </c>
      <c r="V27" s="1">
        <v>1410</v>
      </c>
    </row>
    <row r="28" spans="1:22">
      <c r="A28" s="77">
        <v>15</v>
      </c>
      <c r="B28" s="78">
        <v>2</v>
      </c>
      <c r="C28" s="65">
        <f t="shared" si="11"/>
        <v>20</v>
      </c>
      <c r="D28" s="61">
        <v>20</v>
      </c>
      <c r="E28" s="61" t="s">
        <v>9</v>
      </c>
      <c r="F28" s="79">
        <f t="shared" si="5"/>
        <v>100</v>
      </c>
      <c r="G28" s="79">
        <f t="shared" si="6"/>
        <v>2.5</v>
      </c>
      <c r="H28" s="85">
        <f t="shared" si="7"/>
        <v>1.25</v>
      </c>
      <c r="I28" s="89">
        <f t="shared" si="8"/>
        <v>2.8039657955522017</v>
      </c>
      <c r="J28" s="90">
        <f t="shared" si="12"/>
        <v>25.173213043618123</v>
      </c>
      <c r="K28" s="94">
        <f t="shared" si="9"/>
        <v>1.0256410256410256E-2</v>
      </c>
      <c r="L28" s="80">
        <f t="shared" si="13"/>
        <v>0.31804341491841492</v>
      </c>
      <c r="N28" s="29" t="s">
        <v>77</v>
      </c>
      <c r="O28" s="39">
        <v>0.6</v>
      </c>
      <c r="P28" s="30">
        <f>1-O28</f>
        <v>0.4</v>
      </c>
      <c r="Q28" s="38">
        <v>200</v>
      </c>
      <c r="S28" s="1">
        <f t="shared" si="10"/>
        <v>0.8</v>
      </c>
      <c r="T28" s="1">
        <v>0.9</v>
      </c>
      <c r="U28" s="1">
        <v>-900</v>
      </c>
      <c r="V28" s="1">
        <v>1170</v>
      </c>
    </row>
    <row r="29" spans="1:22">
      <c r="A29" s="77">
        <v>9</v>
      </c>
      <c r="B29" s="78">
        <v>5</v>
      </c>
      <c r="C29" s="65">
        <f t="shared" si="11"/>
        <v>25</v>
      </c>
      <c r="D29" s="61">
        <v>15</v>
      </c>
      <c r="E29" s="61" t="s">
        <v>9</v>
      </c>
      <c r="F29" s="79">
        <f t="shared" si="5"/>
        <v>142.5</v>
      </c>
      <c r="G29" s="79">
        <f t="shared" si="6"/>
        <v>1.9</v>
      </c>
      <c r="H29" s="85">
        <f t="shared" si="7"/>
        <v>0.95</v>
      </c>
      <c r="I29" s="89">
        <f t="shared" si="8"/>
        <v>4.5797182681021482</v>
      </c>
      <c r="J29" s="90">
        <f t="shared" si="12"/>
        <v>29.752931311720271</v>
      </c>
      <c r="K29" s="94">
        <f t="shared" si="9"/>
        <v>1.5151515151515152E-2</v>
      </c>
      <c r="L29" s="80">
        <f t="shared" si="13"/>
        <v>0.33319493006993006</v>
      </c>
      <c r="N29" s="7" t="s">
        <v>63</v>
      </c>
      <c r="O29" s="14">
        <f>O28*$Q28</f>
        <v>120</v>
      </c>
      <c r="P29" s="102">
        <f>P28*$Q28</f>
        <v>80</v>
      </c>
      <c r="Q29" s="12" t="s">
        <v>41</v>
      </c>
      <c r="S29" s="1">
        <f t="shared" si="10"/>
        <v>0.9</v>
      </c>
      <c r="T29" s="1">
        <v>1.1000000000000001</v>
      </c>
      <c r="U29" s="1">
        <v>-600</v>
      </c>
      <c r="V29" s="1">
        <v>900</v>
      </c>
    </row>
    <row r="30" spans="1:22">
      <c r="A30" s="77">
        <v>6</v>
      </c>
      <c r="B30" s="78">
        <v>7</v>
      </c>
      <c r="C30" s="65">
        <f t="shared" si="11"/>
        <v>32</v>
      </c>
      <c r="D30" s="61">
        <v>15</v>
      </c>
      <c r="E30" s="61" t="s">
        <v>10</v>
      </c>
      <c r="F30" s="79">
        <f t="shared" si="5"/>
        <v>168</v>
      </c>
      <c r="G30" s="79">
        <f t="shared" si="6"/>
        <v>1.6</v>
      </c>
      <c r="H30" s="85">
        <f t="shared" si="7"/>
        <v>1.6</v>
      </c>
      <c r="I30" s="89">
        <f t="shared" si="8"/>
        <v>13.503622048656343</v>
      </c>
      <c r="J30" s="90">
        <f t="shared" si="12"/>
        <v>43.256553360376614</v>
      </c>
      <c r="K30" s="94">
        <f t="shared" si="9"/>
        <v>0.15555555555555556</v>
      </c>
      <c r="L30" s="80">
        <f t="shared" si="13"/>
        <v>0.48875048562548562</v>
      </c>
      <c r="N30" s="10" t="s">
        <v>42</v>
      </c>
      <c r="O30" s="105">
        <f>O29-O27</f>
        <v>30</v>
      </c>
      <c r="P30" s="106">
        <f>P29-P27</f>
        <v>20</v>
      </c>
      <c r="Q30" s="107" t="str">
        <f>IF(O30&lt;=0,ROUND((O28*Q28-0.2*Q28)/(O26-0.2)-Q26,0)&amp;" bar","-")</f>
        <v>-</v>
      </c>
      <c r="S30" s="1">
        <f t="shared" si="10"/>
        <v>1.1000000000000001</v>
      </c>
      <c r="T30" s="1">
        <v>1.5</v>
      </c>
      <c r="U30" s="1">
        <v>-300</v>
      </c>
      <c r="V30" s="1">
        <v>570</v>
      </c>
    </row>
    <row r="31" spans="1:22">
      <c r="A31" s="77">
        <v>3</v>
      </c>
      <c r="B31" s="78">
        <v>10</v>
      </c>
      <c r="C31" s="65">
        <f t="shared" si="11"/>
        <v>42</v>
      </c>
      <c r="D31" s="61">
        <v>15</v>
      </c>
      <c r="E31" s="61" t="s">
        <v>10</v>
      </c>
      <c r="F31" s="79">
        <f t="shared" si="5"/>
        <v>195</v>
      </c>
      <c r="G31" s="79">
        <f t="shared" si="6"/>
        <v>1.3</v>
      </c>
      <c r="H31" s="85">
        <f t="shared" si="7"/>
        <v>1.3</v>
      </c>
      <c r="I31" s="89">
        <f t="shared" si="8"/>
        <v>14.794489554378591</v>
      </c>
      <c r="J31" s="90">
        <f t="shared" si="12"/>
        <v>58.051042914755207</v>
      </c>
      <c r="K31" s="94">
        <f t="shared" si="9"/>
        <v>5.5555555555555552E-2</v>
      </c>
      <c r="L31" s="80">
        <f t="shared" si="13"/>
        <v>0.5443060411810412</v>
      </c>
      <c r="N31" s="27" t="s">
        <v>64</v>
      </c>
      <c r="O31" s="96">
        <f>Q31*O26</f>
        <v>90</v>
      </c>
      <c r="P31" s="97">
        <f>Q31*P26</f>
        <v>60</v>
      </c>
      <c r="Q31" s="98">
        <f>MIN((O28*Q28-0.2*Q28)/(O26-0.2),Q26)</f>
        <v>150</v>
      </c>
      <c r="S31" s="1">
        <f t="shared" si="10"/>
        <v>1.5</v>
      </c>
      <c r="T31" s="1">
        <v>1.6</v>
      </c>
      <c r="U31" s="1">
        <v>-750</v>
      </c>
      <c r="V31" s="1">
        <v>1245</v>
      </c>
    </row>
    <row r="32" spans="1:22">
      <c r="A32" s="77"/>
      <c r="B32" s="78"/>
      <c r="C32" s="65" t="str">
        <f t="shared" si="11"/>
        <v/>
      </c>
      <c r="D32" s="61"/>
      <c r="E32" s="61"/>
      <c r="F32" s="79" t="str">
        <f>IF(B32&lt;&gt;"",B32*D32*G32,"")</f>
        <v/>
      </c>
      <c r="G32" s="79" t="str">
        <f t="shared" si="6"/>
        <v/>
      </c>
      <c r="H32" s="85" t="str">
        <f>IFERROR(INDEX($C$19:$C$22,MATCH(E32,$A$19:$A$22,0))*G32,"")</f>
        <v/>
      </c>
      <c r="I32" s="89" t="str">
        <f t="shared" si="8"/>
        <v/>
      </c>
      <c r="J32" s="90" t="str">
        <f t="shared" si="12"/>
        <v/>
      </c>
      <c r="K32" s="94" t="str">
        <f t="shared" si="9"/>
        <v/>
      </c>
      <c r="L32" s="80" t="str">
        <f t="shared" si="13"/>
        <v/>
      </c>
      <c r="N32" s="27" t="s">
        <v>65</v>
      </c>
      <c r="O32" s="96">
        <f>O29-O31-O33</f>
        <v>25</v>
      </c>
      <c r="P32" s="97"/>
      <c r="Q32" s="98">
        <f>Q31+SUM(O32:P32)</f>
        <v>175</v>
      </c>
    </row>
    <row r="33" spans="1:17">
      <c r="A33" s="77"/>
      <c r="B33" s="61"/>
      <c r="C33" s="65" t="str">
        <f t="shared" si="11"/>
        <v/>
      </c>
      <c r="D33" s="61"/>
      <c r="E33" s="61"/>
      <c r="F33" s="79" t="str">
        <f t="shared" ref="F33:F35" si="14">IF(B33&lt;&gt;"",B33*D33*G33,"")</f>
        <v/>
      </c>
      <c r="G33" s="79" t="str">
        <f t="shared" si="6"/>
        <v/>
      </c>
      <c r="H33" s="85" t="str">
        <f t="shared" ref="H33:H35" si="15">IFERROR(INDEX($C$19:$C$22,MATCH(E33,$A$19:$A$22,0))*G33,"")</f>
        <v/>
      </c>
      <c r="I33" s="89" t="str">
        <f t="shared" si="8"/>
        <v/>
      </c>
      <c r="J33" s="90" t="str">
        <f t="shared" si="12"/>
        <v/>
      </c>
      <c r="K33" s="94" t="str">
        <f t="shared" si="9"/>
        <v/>
      </c>
      <c r="L33" s="80" t="str">
        <f t="shared" si="13"/>
        <v/>
      </c>
      <c r="N33" s="28" t="s">
        <v>66</v>
      </c>
      <c r="O33" s="99">
        <f>P33*0.2/0.8</f>
        <v>5</v>
      </c>
      <c r="P33" s="100">
        <f>P29-P31</f>
        <v>20</v>
      </c>
      <c r="Q33" s="101">
        <f>Q32+SUM(O33:P33)</f>
        <v>200</v>
      </c>
    </row>
    <row r="34" spans="1:17">
      <c r="A34" s="77"/>
      <c r="B34" s="61"/>
      <c r="C34" s="65" t="str">
        <f t="shared" si="11"/>
        <v/>
      </c>
      <c r="D34" s="61"/>
      <c r="E34" s="61"/>
      <c r="F34" s="79" t="str">
        <f t="shared" si="14"/>
        <v/>
      </c>
      <c r="G34" s="79" t="str">
        <f t="shared" si="6"/>
        <v/>
      </c>
      <c r="H34" s="85" t="str">
        <f t="shared" si="15"/>
        <v/>
      </c>
      <c r="I34" s="89" t="str">
        <f t="shared" si="8"/>
        <v/>
      </c>
      <c r="J34" s="90" t="str">
        <f t="shared" si="12"/>
        <v/>
      </c>
      <c r="K34" s="94" t="str">
        <f t="shared" si="9"/>
        <v/>
      </c>
      <c r="L34" s="80" t="str">
        <f t="shared" si="13"/>
        <v/>
      </c>
    </row>
    <row r="35" spans="1:17">
      <c r="A35" s="81"/>
      <c r="B35" s="68"/>
      <c r="C35" s="71" t="str">
        <f t="shared" si="11"/>
        <v/>
      </c>
      <c r="D35" s="68"/>
      <c r="E35" s="68"/>
      <c r="F35" s="82" t="str">
        <f t="shared" si="14"/>
        <v/>
      </c>
      <c r="G35" s="82" t="str">
        <f t="shared" si="6"/>
        <v/>
      </c>
      <c r="H35" s="86" t="str">
        <f t="shared" si="15"/>
        <v/>
      </c>
      <c r="I35" s="91" t="str">
        <f t="shared" si="8"/>
        <v/>
      </c>
      <c r="J35" s="92" t="str">
        <f t="shared" si="12"/>
        <v/>
      </c>
      <c r="K35" s="95" t="str">
        <f t="shared" si="9"/>
        <v/>
      </c>
      <c r="L35" s="83" t="str">
        <f t="shared" si="13"/>
        <v/>
      </c>
      <c r="N35" s="112" t="s">
        <v>78</v>
      </c>
      <c r="O35" s="114"/>
      <c r="P35" s="114"/>
      <c r="Q35" s="113"/>
    </row>
    <row r="36" spans="1:17">
      <c r="A36" s="31" t="str">
        <f>"P max="&amp;MAX(A26:A35)&amp;"m"</f>
        <v>P max=50m</v>
      </c>
      <c r="C36" s="31" t="str">
        <f>"t max="&amp;MAX(C26:C35)&amp;"'"</f>
        <v>t max=42'</v>
      </c>
      <c r="I36" s="29" t="s">
        <v>82</v>
      </c>
      <c r="J36" s="52">
        <f>MAX(J26:J35)</f>
        <v>58.051042914755207</v>
      </c>
      <c r="K36" s="29" t="s">
        <v>50</v>
      </c>
      <c r="L36" s="51">
        <f>MAX(L26:L35)</f>
        <v>0.5443060411810412</v>
      </c>
      <c r="N36" s="4" t="s">
        <v>21</v>
      </c>
      <c r="O36" s="40">
        <v>1.45</v>
      </c>
      <c r="P36" s="5" t="s">
        <v>23</v>
      </c>
      <c r="Q36" s="49">
        <f>IFERROR(O37/IF(AND(O36&gt;=0.5,O36&lt;=1.6),INDEX($U$25:$U$31,MATCH(O36,$S$25:$S$31,1))*O36+INDEX($V$25:$V$31,MATCH(O36,$S$25:$S$31,1)),""),"")</f>
        <v>7.407407407407407E-2</v>
      </c>
    </row>
    <row r="37" spans="1:17">
      <c r="I37" s="7" t="s">
        <v>81</v>
      </c>
      <c r="J37" s="12">
        <f>J36+B7</f>
        <v>358.05104291475521</v>
      </c>
      <c r="K37" s="14" t="s">
        <v>80</v>
      </c>
      <c r="L37" s="13" t="str">
        <f>IF(L36&gt;=0.5,IF(L36&gt;=0.8,"12h","45'"),"Aucun")</f>
        <v>45'</v>
      </c>
      <c r="N37" s="7" t="s">
        <v>0</v>
      </c>
      <c r="O37" s="41">
        <v>10</v>
      </c>
      <c r="P37" s="8" t="s">
        <v>22</v>
      </c>
      <c r="Q37" s="50">
        <f>IF(O37&lt;&gt;"",((O36-0.5)/0.5)^(5/6)*O37,"")</f>
        <v>17.07240353412471</v>
      </c>
    </row>
    <row r="38" spans="1:17">
      <c r="M38" s="2"/>
      <c r="N38" s="2"/>
    </row>
  </sheetData>
  <sheetProtection password="D386" sheet="1" objects="1" scenarios="1"/>
  <mergeCells count="10">
    <mergeCell ref="H3:I3"/>
    <mergeCell ref="A1:Q1"/>
    <mergeCell ref="D3:E3"/>
    <mergeCell ref="A3:B3"/>
    <mergeCell ref="N35:Q35"/>
    <mergeCell ref="I24:J24"/>
    <mergeCell ref="K24:L24"/>
    <mergeCell ref="O24:Q24"/>
    <mergeCell ref="O3:Q3"/>
    <mergeCell ref="A9:B9"/>
  </mergeCells>
  <pageMargins left="0.23622047244094491" right="0.23622047244094491" top="0.74803149606299213" bottom="0.74803149606299213" header="0.31496062992125984" footer="0.31496062992125984"/>
  <pageSetup paperSize="9" scale="82" orientation="landscape" verticalDpi="0" r:id="rId1"/>
  <headerFooter>
    <oddFooter>&amp;CStéphane Besnard - MF2 #1901 -  MNC#6731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Planification</vt:lpstr>
      <vt:lpstr>Planification!Zone_d_impression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2014-11-19T07:57:59Z</dcterms:modified>
</cp:coreProperties>
</file>